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852" windowWidth="15360" windowHeight="8856" firstSheet="3" activeTab="4"/>
  </bookViews>
  <sheets>
    <sheet name="Ernst" sheetId="1" r:id="rId1"/>
    <sheet name="Cassegrain WN 5" sheetId="2" r:id="rId2"/>
    <sheet name="Cassegrain gam-Cas" sheetId="3" r:id="rId3"/>
    <sheet name="Erläuterung" sheetId="4" r:id="rId4"/>
    <sheet name="SIMSPEC Slit" sheetId="5" r:id="rId5"/>
  </sheets>
  <definedNames>
    <definedName name="_xlnm.Print_Area" localSheetId="2">'Cassegrain gam-Cas'!$A$1:$I$43</definedName>
    <definedName name="_xlnm.Print_Area" localSheetId="1">'Cassegrain WN 5'!$A$1:$I$43</definedName>
    <definedName name="_xlnm.Print_Area" localSheetId="0">'Ernst'!$A$1:$I$43</definedName>
    <definedName name="_xlnm.Print_Area" localSheetId="4">'SIMSPEC Slit'!$A$1:$I$44</definedName>
  </definedNames>
  <calcPr fullCalcOnLoad="1"/>
</workbook>
</file>

<file path=xl/comments1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Mindest-FWHM des Kollimators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Wenn spaltlos gearbeitet wird hier unbedingt Null eingeben !!!
</t>
        </r>
      </text>
    </comment>
  </commentList>
</comments>
</file>

<file path=xl/comments2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FWHM des Kollmators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</commentList>
</comments>
</file>

<file path=xl/comments3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FWHM des Kollmators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</commentList>
</comments>
</file>

<file path=xl/comments5.xml><?xml version="1.0" encoding="utf-8"?>
<comments xmlns="http://schemas.openxmlformats.org/spreadsheetml/2006/main">
  <authors>
    <author>Klaus Vollmann</author>
  </authors>
  <commentList>
    <comment ref="E16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1" authorId="0">
      <text>
        <r>
          <rPr>
            <sz val="8"/>
            <rFont val="Tahoma"/>
            <family val="0"/>
          </rPr>
          <t>Der Abtastfaktor sollte etwa 1 betragen</t>
        </r>
      </text>
    </comment>
  </commentList>
</comments>
</file>

<file path=xl/sharedStrings.xml><?xml version="1.0" encoding="utf-8"?>
<sst xmlns="http://schemas.openxmlformats.org/spreadsheetml/2006/main" count="418" uniqueCount="95">
  <si>
    <t>A/pixel</t>
  </si>
  <si>
    <t>mm</t>
  </si>
  <si>
    <t>°</t>
  </si>
  <si>
    <t>A</t>
  </si>
  <si>
    <t>"</t>
  </si>
  <si>
    <t>microns</t>
  </si>
  <si>
    <t>FWHMd :</t>
  </si>
  <si>
    <t>FWHMt :</t>
  </si>
  <si>
    <t>F/D (F#) :</t>
  </si>
  <si>
    <t>photons/cm2/s/A</t>
  </si>
  <si>
    <t>Fraction intégrée axe trans. (k) :</t>
  </si>
  <si>
    <t>%</t>
  </si>
  <si>
    <t>e-/pixel</t>
  </si>
  <si>
    <t>e-</t>
  </si>
  <si>
    <t>photons/cm2/s/A/arcsec</t>
  </si>
  <si>
    <t>Binning numérique transverse (q) :</t>
  </si>
  <si>
    <t>Magnitude (m) :</t>
  </si>
  <si>
    <t>e-/s/pixel</t>
  </si>
  <si>
    <r>
      <t>Seeing (</t>
    </r>
    <r>
      <rPr>
        <sz val="8"/>
        <rFont val="Symbol"/>
        <family val="1"/>
      </rPr>
      <t>f</t>
    </r>
    <r>
      <rPr>
        <sz val="8"/>
        <rFont val="Arial"/>
        <family val="0"/>
      </rPr>
      <t>) :</t>
    </r>
  </si>
  <si>
    <r>
      <t>Dispersion (</t>
    </r>
    <r>
      <rPr>
        <sz val="8"/>
        <rFont val="Symbol"/>
        <family val="1"/>
      </rPr>
      <t>r</t>
    </r>
    <r>
      <rPr>
        <sz val="8"/>
        <rFont val="Arial"/>
        <family val="0"/>
      </rPr>
      <t>) :</t>
    </r>
  </si>
  <si>
    <r>
      <t>Lambda min. (</t>
    </r>
    <r>
      <rPr>
        <sz val="8"/>
        <rFont val="Symbol"/>
        <family val="1"/>
      </rPr>
      <t>l</t>
    </r>
    <r>
      <rPr>
        <sz val="8"/>
        <rFont val="Arial"/>
        <family val="0"/>
      </rPr>
      <t>1) :</t>
    </r>
  </si>
  <si>
    <r>
      <t>Lambda max. (</t>
    </r>
    <r>
      <rPr>
        <sz val="8"/>
        <rFont val="Symbol"/>
        <family val="1"/>
      </rPr>
      <t>l</t>
    </r>
    <r>
      <rPr>
        <sz val="8"/>
        <rFont val="Arial"/>
        <family val="0"/>
      </rPr>
      <t>2) :</t>
    </r>
  </si>
  <si>
    <t>Transmission des Teleskopes (To) :</t>
  </si>
  <si>
    <r>
      <t>Obstruktion bei Spiegeltelskopen (</t>
    </r>
    <r>
      <rPr>
        <sz val="8"/>
        <rFont val="Symbol"/>
        <family val="1"/>
      </rPr>
      <t>e</t>
    </r>
    <r>
      <rPr>
        <sz val="8"/>
        <rFont val="Arial"/>
        <family val="0"/>
      </rPr>
      <t>) :</t>
    </r>
  </si>
  <si>
    <t>Seeingscheibchen :</t>
  </si>
  <si>
    <t>Transmission der Atmosphäre (Ta) :</t>
  </si>
  <si>
    <t>Himmelshintergrund in Magnituden (ms) :</t>
  </si>
  <si>
    <t>Effektivtemperatur  (Te) :</t>
  </si>
  <si>
    <t>Objekt-Parameter</t>
  </si>
  <si>
    <t>Teleskop-Parameter</t>
  </si>
  <si>
    <t>Bolometrische Korrektur (BC) :</t>
  </si>
  <si>
    <t>Auflösungsvermögen (R) :</t>
  </si>
  <si>
    <r>
      <t>Spektrale Auflösung (</t>
    </r>
    <r>
      <rPr>
        <b/>
        <sz val="8"/>
        <rFont val="Symbol"/>
        <family val="1"/>
      </rPr>
      <t>Dl</t>
    </r>
    <r>
      <rPr>
        <b/>
        <sz val="8"/>
        <rFont val="Arial"/>
        <family val="0"/>
      </rPr>
      <t>) :</t>
    </r>
  </si>
  <si>
    <r>
      <t>Binning in Dispersionsrichtung (f</t>
    </r>
    <r>
      <rPr>
        <sz val="8"/>
        <rFont val="Symbol"/>
        <family val="1"/>
      </rPr>
      <t>l</t>
    </r>
    <r>
      <rPr>
        <sz val="8"/>
        <rFont val="Arial"/>
        <family val="0"/>
      </rPr>
      <t>) :</t>
    </r>
  </si>
  <si>
    <r>
      <t>Beugungswinkel (</t>
    </r>
    <r>
      <rPr>
        <sz val="8"/>
        <rFont val="Symbol"/>
        <family val="1"/>
      </rPr>
      <t>b</t>
    </r>
    <r>
      <rPr>
        <sz val="8"/>
        <rFont val="Arial"/>
        <family val="0"/>
      </rPr>
      <t>) :</t>
    </r>
  </si>
  <si>
    <r>
      <t>Einfallswinkel (</t>
    </r>
    <r>
      <rPr>
        <sz val="8"/>
        <rFont val="Symbol"/>
        <family val="1"/>
      </rPr>
      <t>a</t>
    </r>
    <r>
      <rPr>
        <sz val="8"/>
        <rFont val="Arial"/>
        <family val="0"/>
      </rPr>
      <t>) :</t>
    </r>
  </si>
  <si>
    <t>Minimales F/D des Kollimators (Fc) :</t>
  </si>
  <si>
    <t>Minimaler Durchmesser des Kollimators (d1) :</t>
  </si>
  <si>
    <t>Beobachtungsbedingungen</t>
  </si>
  <si>
    <t>Parameter des Spektrographen</t>
  </si>
  <si>
    <t>Parameter der CCD-Kamera</t>
  </si>
  <si>
    <t>Ergebnisse</t>
  </si>
  <si>
    <t>Thermisches Signal (Nd) :</t>
  </si>
  <si>
    <r>
      <t>Relative Quanten Efficiency (</t>
    </r>
    <r>
      <rPr>
        <sz val="8"/>
        <rFont val="Symbol"/>
        <family val="1"/>
      </rPr>
      <t>h</t>
    </r>
    <r>
      <rPr>
        <sz val="8"/>
        <rFont val="Arial"/>
        <family val="0"/>
      </rPr>
      <t>) :</t>
    </r>
  </si>
  <si>
    <t>Pixelanzahl (Nx) :</t>
  </si>
  <si>
    <t>Pixelabmessung (p) :</t>
  </si>
  <si>
    <t>Kollimatorbrennweite (f1) :</t>
  </si>
  <si>
    <t>Kamerabrennweite (f2) :</t>
  </si>
  <si>
    <t>Ordnung (k) :</t>
  </si>
  <si>
    <r>
      <t>Totaler Winkel (</t>
    </r>
    <r>
      <rPr>
        <sz val="8"/>
        <rFont val="Symbol"/>
        <family val="1"/>
      </rPr>
      <t>g</t>
    </r>
    <r>
      <rPr>
        <sz val="8"/>
        <rFont val="Arial"/>
        <family val="0"/>
      </rPr>
      <t>) :</t>
    </r>
  </si>
  <si>
    <r>
      <t>Wellenlänge (</t>
    </r>
    <r>
      <rPr>
        <sz val="8"/>
        <rFont val="Symbol"/>
        <family val="1"/>
      </rPr>
      <t>l</t>
    </r>
    <r>
      <rPr>
        <sz val="8"/>
        <rFont val="Arial"/>
        <family val="0"/>
      </rPr>
      <t>0) :</t>
    </r>
  </si>
  <si>
    <t>Transmission des Spektrometers (Ts) :</t>
  </si>
  <si>
    <t>Brennweite (f) :</t>
  </si>
  <si>
    <t>Objektiv-Durchmesser (D) :</t>
  </si>
  <si>
    <t>Anamorphose-Faktor (r) :</t>
  </si>
  <si>
    <t>Photonfluß Objekt (E) :</t>
  </si>
  <si>
    <r>
      <t>Rauschen (</t>
    </r>
    <r>
      <rPr>
        <sz val="8"/>
        <rFont val="Symbol"/>
        <family val="1"/>
      </rPr>
      <t>s</t>
    </r>
    <r>
      <rPr>
        <sz val="8"/>
        <rFont val="Arial"/>
        <family val="0"/>
      </rPr>
      <t>) :</t>
    </r>
  </si>
  <si>
    <t>Signal (Nm) :</t>
  </si>
  <si>
    <t>Signal Himmelshintergrund (Ns) :</t>
  </si>
  <si>
    <t>Photonfluß Himmelshintergrund (Ed) :</t>
  </si>
  <si>
    <t>Signal-zu-Rausch-Verhältnis (SNR) :</t>
  </si>
  <si>
    <t xml:space="preserve"> Rauschsignal (RON) :</t>
  </si>
  <si>
    <t>Binning senkrecht (fy) :</t>
  </si>
  <si>
    <t>SIMSPEC V2.2 (11 mars 2003) - Simulation eines Spektrometers mit Reflexionsgitter - von Christian Buil</t>
  </si>
  <si>
    <t>Gitterkonstante in Linien / mm (m) :</t>
  </si>
  <si>
    <r>
      <t xml:space="preserve">m </t>
    </r>
    <r>
      <rPr>
        <sz val="8"/>
        <rFont val="Arial"/>
        <family val="2"/>
      </rPr>
      <t>m</t>
    </r>
  </si>
  <si>
    <r>
      <t xml:space="preserve">Durchmesser der "Kamera" bei </t>
    </r>
    <r>
      <rPr>
        <sz val="8"/>
        <rFont val="Symbol"/>
        <family val="1"/>
      </rPr>
      <t>l</t>
    </r>
    <r>
      <rPr>
        <sz val="8"/>
        <rFont val="Arial"/>
        <family val="0"/>
      </rPr>
      <t>0 (d2) :</t>
    </r>
  </si>
  <si>
    <t>Minimaler Durchmesser der "Kamera" (d'2) :</t>
  </si>
  <si>
    <t>Minimales F/D der "Kamera" (Fo) :</t>
  </si>
  <si>
    <t>Abtast-Faktor :</t>
  </si>
  <si>
    <t>Gesamteffizienz (R) :</t>
  </si>
  <si>
    <t>Minimale Gittergröße (W) :</t>
  </si>
  <si>
    <t>CCD-Binning</t>
  </si>
  <si>
    <r>
      <t xml:space="preserve">g  </t>
    </r>
    <r>
      <rPr>
        <sz val="8"/>
        <rFont val="Arial"/>
        <family val="2"/>
      </rPr>
      <t>Cas</t>
    </r>
  </si>
  <si>
    <t>Kelvin</t>
  </si>
  <si>
    <t>Kamerabrennweite + Barlow (f2) :</t>
  </si>
  <si>
    <t>Abstand Gitter - "Kamera" (T) :</t>
  </si>
  <si>
    <t>Spaltbreite (w) :</t>
  </si>
  <si>
    <r>
      <t xml:space="preserve">Spaltbreite in </t>
    </r>
    <r>
      <rPr>
        <sz val="8"/>
        <rFont val="Symbol"/>
        <family val="1"/>
      </rPr>
      <t>m</t>
    </r>
    <r>
      <rPr>
        <sz val="8"/>
        <rFont val="Arial"/>
        <family val="0"/>
      </rPr>
      <t xml:space="preserve"> m (w) :</t>
    </r>
  </si>
  <si>
    <t>Signal-zu-Rausch Verhältnis (SNR) :</t>
  </si>
  <si>
    <t>Auflösung Kollimator im Fokus (FWHMc) :</t>
  </si>
  <si>
    <t>Auflösung "Kamera" im Fokus (FWHMo) :</t>
  </si>
  <si>
    <t>Gesamtbelichtungszeit in Sekunden (t) :</t>
  </si>
  <si>
    <t>Anzahl der Elementaraufnahmen (n) :</t>
  </si>
  <si>
    <r>
      <t xml:space="preserve">g  </t>
    </r>
    <r>
      <rPr>
        <b/>
        <sz val="8"/>
        <rFont val="Arial"/>
        <family val="2"/>
      </rPr>
      <t>Cas</t>
    </r>
  </si>
  <si>
    <t>?</t>
  </si>
  <si>
    <t xml:space="preserve">Abhängig von den Teleskop-Parametern, den Beobachtungsbedingungen, den Parametern der zu nutzenden CCD sowie den </t>
  </si>
  <si>
    <t>sowie das erzielbare Signal-zu-Rausch-Verhältnis S/N bestimmt.</t>
  </si>
  <si>
    <t>Erläuterung des Excel-Sheet SIMSPEC_Slit.xls</t>
  </si>
  <si>
    <r>
      <t xml:space="preserve">Das Excel-Sheet </t>
    </r>
    <r>
      <rPr>
        <b/>
        <sz val="11"/>
        <rFont val="Times New Roman"/>
        <family val="1"/>
      </rPr>
      <t>SIMSPEC_Slit</t>
    </r>
    <r>
      <rPr>
        <sz val="11"/>
        <rFont val="Times New Roman"/>
        <family val="1"/>
      </rPr>
      <t xml:space="preserve"> ist eine Erweiterung des Excel-Sheets </t>
    </r>
    <r>
      <rPr>
        <b/>
        <sz val="11"/>
        <rFont val="Times New Roman"/>
        <family val="1"/>
      </rPr>
      <t>SIMSPEC</t>
    </r>
    <r>
      <rPr>
        <sz val="11"/>
        <rFont val="Times New Roman"/>
        <family val="1"/>
      </rPr>
      <t xml:space="preserve"> von </t>
    </r>
  </si>
  <si>
    <t xml:space="preserve">Christian Buil (http://www.astrosurf.com/buil/). Mit SIMSPEC_Slit können auch Spaltspektrographen berechnet werden.  </t>
  </si>
  <si>
    <t xml:space="preserve">Die Modifikation von SIMSPEC wurde von Klaus Vollmann (vollmann@stsci.de) durchgeführt. </t>
  </si>
  <si>
    <t>Das Sheet befindet sich auf dem zweiten Blatt.</t>
  </si>
  <si>
    <t>Parametern des zu entwickelnden Spektrographen werden das entsprechende Auflösungsvermögen, die spektrale Auflösung</t>
  </si>
  <si>
    <t>SIMSPEC_Slit - Erweiterung um die Anwendung eines optischen Spalts - von Klaus Vollmann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</si>
</sst>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0.00000000"/>
    <numFmt numFmtId="211" formatCode="#.##000\ \€;\-#.##000\ \€"/>
    <numFmt numFmtId="212" formatCode="#,##0.0"/>
  </numFmts>
  <fonts count="13">
    <font>
      <sz val="10"/>
      <name val="Arial"/>
      <family val="0"/>
    </font>
    <font>
      <b/>
      <sz val="8"/>
      <color indexed="10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name val="Symbol"/>
      <family val="1"/>
    </font>
    <font>
      <b/>
      <sz val="8"/>
      <name val="Arial"/>
      <family val="0"/>
    </font>
    <font>
      <b/>
      <sz val="8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0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20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7" borderId="0" xfId="0" applyFont="1" applyFill="1" applyAlignment="1">
      <alignment/>
    </xf>
    <xf numFmtId="211" fontId="3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9" fontId="2" fillId="3" borderId="0" xfId="17" applyFont="1" applyFill="1" applyAlignment="1">
      <alignment/>
    </xf>
    <xf numFmtId="9" fontId="2" fillId="2" borderId="0" xfId="17" applyFont="1" applyFill="1" applyAlignment="1">
      <alignment/>
    </xf>
    <xf numFmtId="9" fontId="2" fillId="6" borderId="0" xfId="17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9" fontId="2" fillId="0" borderId="0" xfId="17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20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208" fontId="1" fillId="0" borderId="0" xfId="0" applyNumberFormat="1" applyFont="1" applyFill="1" applyBorder="1" applyAlignment="1">
      <alignment/>
    </xf>
    <xf numFmtId="205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9" fontId="2" fillId="0" borderId="0" xfId="17" applyFont="1" applyBorder="1" applyAlignment="1">
      <alignment/>
    </xf>
    <xf numFmtId="0" fontId="4" fillId="0" borderId="0" xfId="0" applyFont="1" applyBorder="1" applyAlignment="1">
      <alignment horizontal="left"/>
    </xf>
    <xf numFmtId="209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09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1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2" borderId="0" xfId="17" applyFont="1" applyFill="1" applyBorder="1" applyAlignment="1">
      <alignment/>
    </xf>
    <xf numFmtId="0" fontId="2" fillId="3" borderId="0" xfId="0" applyFont="1" applyFill="1" applyBorder="1" applyAlignment="1">
      <alignment/>
    </xf>
    <xf numFmtId="9" fontId="2" fillId="6" borderId="0" xfId="17" applyFont="1" applyFill="1" applyBorder="1" applyAlignment="1">
      <alignment/>
    </xf>
    <xf numFmtId="9" fontId="2" fillId="3" borderId="0" xfId="17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4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8" borderId="0" xfId="0" applyFont="1" applyFill="1" applyBorder="1" applyAlignment="1">
      <alignment horizontal="right"/>
    </xf>
    <xf numFmtId="1" fontId="2" fillId="6" borderId="0" xfId="0" applyNumberFormat="1" applyFont="1" applyFill="1" applyBorder="1" applyAlignment="1">
      <alignment/>
    </xf>
    <xf numFmtId="209" fontId="10" fillId="0" borderId="0" xfId="0" applyNumberFormat="1" applyFont="1" applyAlignment="1">
      <alignment/>
    </xf>
    <xf numFmtId="21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">
      <selection activeCell="D29" sqref="D29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2" spans="1:9" ht="10.5" customHeight="1">
      <c r="A2" s="67"/>
      <c r="B2" s="68"/>
      <c r="C2" s="68"/>
      <c r="D2" s="68"/>
      <c r="E2" s="68"/>
      <c r="F2" s="68"/>
      <c r="G2" s="68"/>
      <c r="H2" s="68"/>
      <c r="I2" s="69"/>
    </row>
    <row r="3" spans="1:9" ht="10.5" customHeight="1">
      <c r="A3" s="70" t="s">
        <v>29</v>
      </c>
      <c r="B3" s="35"/>
      <c r="C3" s="35"/>
      <c r="D3" s="52" t="s">
        <v>39</v>
      </c>
      <c r="E3" s="35"/>
      <c r="F3" s="35"/>
      <c r="G3" s="53" t="s">
        <v>40</v>
      </c>
      <c r="H3" s="35"/>
      <c r="I3" s="71"/>
    </row>
    <row r="4" spans="1:9" ht="10.5" customHeight="1">
      <c r="A4" s="72" t="s">
        <v>53</v>
      </c>
      <c r="B4" s="54">
        <v>200</v>
      </c>
      <c r="C4" s="35" t="s">
        <v>1</v>
      </c>
      <c r="D4" s="40" t="s">
        <v>46</v>
      </c>
      <c r="E4" s="55">
        <v>135</v>
      </c>
      <c r="F4" s="35" t="s">
        <v>1</v>
      </c>
      <c r="G4" s="40" t="s">
        <v>45</v>
      </c>
      <c r="H4" s="56">
        <v>9</v>
      </c>
      <c r="I4" s="71" t="s">
        <v>5</v>
      </c>
    </row>
    <row r="5" spans="1:9" ht="10.5" customHeight="1">
      <c r="A5" s="72" t="s">
        <v>52</v>
      </c>
      <c r="B5" s="54">
        <v>760</v>
      </c>
      <c r="C5" s="35" t="s">
        <v>1</v>
      </c>
      <c r="D5" s="40" t="s">
        <v>75</v>
      </c>
      <c r="E5" s="80">
        <f>135*1.425</f>
        <v>192.375</v>
      </c>
      <c r="F5" s="35" t="s">
        <v>1</v>
      </c>
      <c r="G5" s="40" t="s">
        <v>44</v>
      </c>
      <c r="H5" s="56">
        <v>768</v>
      </c>
      <c r="I5" s="71"/>
    </row>
    <row r="6" spans="1:9" ht="10.5" customHeight="1">
      <c r="A6" s="72" t="s">
        <v>8</v>
      </c>
      <c r="B6" s="57">
        <f>B5/B4</f>
        <v>3.8</v>
      </c>
      <c r="C6" s="35"/>
      <c r="D6" s="40" t="s">
        <v>64</v>
      </c>
      <c r="E6" s="55">
        <v>1200</v>
      </c>
      <c r="F6" s="35"/>
      <c r="G6" s="40" t="s">
        <v>43</v>
      </c>
      <c r="H6" s="56">
        <v>70</v>
      </c>
      <c r="I6" s="71" t="s">
        <v>11</v>
      </c>
    </row>
    <row r="7" spans="1:9" ht="10.5" customHeight="1">
      <c r="A7" s="72" t="s">
        <v>23</v>
      </c>
      <c r="B7" s="58">
        <v>0.3</v>
      </c>
      <c r="C7" s="35"/>
      <c r="D7" s="40" t="s">
        <v>48</v>
      </c>
      <c r="E7" s="55">
        <v>1</v>
      </c>
      <c r="F7" s="35"/>
      <c r="G7" s="40" t="s">
        <v>61</v>
      </c>
      <c r="H7" s="56">
        <v>30</v>
      </c>
      <c r="I7" s="71" t="s">
        <v>12</v>
      </c>
    </row>
    <row r="8" spans="1:9" ht="10.5" customHeight="1">
      <c r="A8" s="72" t="s">
        <v>22</v>
      </c>
      <c r="B8" s="58">
        <v>0.75</v>
      </c>
      <c r="C8" s="35"/>
      <c r="D8" s="40" t="s">
        <v>49</v>
      </c>
      <c r="E8" s="55">
        <v>38</v>
      </c>
      <c r="F8" s="35" t="s">
        <v>2</v>
      </c>
      <c r="G8" s="40" t="s">
        <v>42</v>
      </c>
      <c r="H8" s="56">
        <v>0.1</v>
      </c>
      <c r="I8" s="71" t="s">
        <v>17</v>
      </c>
    </row>
    <row r="9" spans="1:9" ht="10.5" customHeight="1">
      <c r="A9" s="72"/>
      <c r="B9" s="35"/>
      <c r="C9" s="35"/>
      <c r="D9" s="40" t="s">
        <v>50</v>
      </c>
      <c r="E9" s="55">
        <v>6670</v>
      </c>
      <c r="F9" s="35" t="s">
        <v>3</v>
      </c>
      <c r="G9" s="40"/>
      <c r="H9" s="35"/>
      <c r="I9" s="71"/>
    </row>
    <row r="10" spans="1:9" ht="10.5" customHeight="1">
      <c r="A10" s="73" t="s">
        <v>38</v>
      </c>
      <c r="B10" s="35"/>
      <c r="C10" s="35"/>
      <c r="D10" s="40" t="s">
        <v>76</v>
      </c>
      <c r="E10" s="55">
        <v>20</v>
      </c>
      <c r="F10" s="35" t="s">
        <v>1</v>
      </c>
      <c r="G10" s="40"/>
      <c r="H10" s="35"/>
      <c r="I10" s="71"/>
    </row>
    <row r="11" spans="1:9" ht="10.5" customHeight="1">
      <c r="A11" s="72" t="s">
        <v>18</v>
      </c>
      <c r="B11" s="59">
        <v>1</v>
      </c>
      <c r="C11" s="35" t="s">
        <v>4</v>
      </c>
      <c r="D11" s="40" t="s">
        <v>51</v>
      </c>
      <c r="E11" s="60">
        <v>0.7</v>
      </c>
      <c r="F11" s="35"/>
      <c r="G11" s="35"/>
      <c r="H11" s="35"/>
      <c r="I11" s="71"/>
    </row>
    <row r="12" spans="1:9" ht="10.5" customHeight="1">
      <c r="A12" s="72" t="s">
        <v>24</v>
      </c>
      <c r="B12" s="37">
        <f>B11/3600/180*PI()*B5*1000</f>
        <v>3.6845839764324735</v>
      </c>
      <c r="C12" s="45" t="s">
        <v>65</v>
      </c>
      <c r="D12" s="40" t="s">
        <v>78</v>
      </c>
      <c r="E12" s="55">
        <v>0</v>
      </c>
      <c r="F12" s="45" t="s">
        <v>65</v>
      </c>
      <c r="G12" s="35"/>
      <c r="H12" s="35"/>
      <c r="I12" s="71"/>
    </row>
    <row r="13" spans="1:9" ht="10.5" customHeight="1">
      <c r="A13" s="72" t="s">
        <v>25</v>
      </c>
      <c r="B13" s="61">
        <v>0.75</v>
      </c>
      <c r="C13" s="35"/>
      <c r="D13" s="40"/>
      <c r="E13" s="35"/>
      <c r="F13" s="35"/>
      <c r="G13" s="40"/>
      <c r="H13" s="35"/>
      <c r="I13" s="71"/>
    </row>
    <row r="14" spans="1:9" ht="10.5" customHeight="1">
      <c r="A14" s="72" t="s">
        <v>26</v>
      </c>
      <c r="B14" s="59">
        <v>18</v>
      </c>
      <c r="C14" s="35"/>
      <c r="D14" s="40" t="s">
        <v>80</v>
      </c>
      <c r="E14" s="37">
        <f>2.44*$E$9/10000*B26</f>
        <v>6.184424</v>
      </c>
      <c r="F14" s="45" t="s">
        <v>65</v>
      </c>
      <c r="G14" s="35"/>
      <c r="H14" s="35"/>
      <c r="I14" s="71"/>
    </row>
    <row r="15" spans="1:9" ht="10.5" customHeight="1">
      <c r="A15" s="72" t="s">
        <v>82</v>
      </c>
      <c r="B15" s="59">
        <v>20</v>
      </c>
      <c r="C15" s="35"/>
      <c r="D15" s="40" t="s">
        <v>81</v>
      </c>
      <c r="E15" s="37">
        <f>2.44*$E$9/10000*B33</f>
        <v>6.278633411738518</v>
      </c>
      <c r="F15" s="45" t="s">
        <v>65</v>
      </c>
      <c r="G15" s="35"/>
      <c r="H15" s="35"/>
      <c r="I15" s="71"/>
    </row>
    <row r="16" spans="1:9" ht="10.5" customHeight="1">
      <c r="A16" s="72" t="s">
        <v>83</v>
      </c>
      <c r="B16" s="59">
        <v>10</v>
      </c>
      <c r="C16" s="35"/>
      <c r="D16" s="40"/>
      <c r="E16" s="57"/>
      <c r="F16" s="35"/>
      <c r="G16" s="35"/>
      <c r="H16" s="35"/>
      <c r="I16" s="71"/>
    </row>
    <row r="17" spans="1:9" ht="10.5" customHeight="1">
      <c r="A17" s="74"/>
      <c r="B17" s="35"/>
      <c r="C17" s="35"/>
      <c r="D17" s="62" t="s">
        <v>72</v>
      </c>
      <c r="E17" s="57"/>
      <c r="F17" s="35"/>
      <c r="G17" s="35"/>
      <c r="H17" s="35"/>
      <c r="I17" s="71"/>
    </row>
    <row r="18" spans="1:9" ht="10.5" customHeight="1">
      <c r="A18" s="70" t="s">
        <v>28</v>
      </c>
      <c r="B18" s="35"/>
      <c r="C18" s="63"/>
      <c r="D18" s="79" t="s">
        <v>10</v>
      </c>
      <c r="E18" s="64">
        <v>1</v>
      </c>
      <c r="F18" s="35"/>
      <c r="G18" s="35"/>
      <c r="H18" s="35"/>
      <c r="I18" s="71"/>
    </row>
    <row r="19" spans="1:9" ht="10.5" customHeight="1">
      <c r="A19" s="72" t="s">
        <v>16</v>
      </c>
      <c r="B19" s="65">
        <v>2.4</v>
      </c>
      <c r="C19" s="45" t="s">
        <v>73</v>
      </c>
      <c r="D19" s="40" t="s">
        <v>33</v>
      </c>
      <c r="E19" s="64">
        <v>1</v>
      </c>
      <c r="F19" s="35"/>
      <c r="G19" s="35"/>
      <c r="H19" s="35"/>
      <c r="I19" s="71"/>
    </row>
    <row r="20" spans="1:9" ht="10.5" customHeight="1">
      <c r="A20" s="72" t="s">
        <v>27</v>
      </c>
      <c r="B20" s="65">
        <v>12000</v>
      </c>
      <c r="C20" s="35" t="s">
        <v>74</v>
      </c>
      <c r="D20" s="40" t="s">
        <v>62</v>
      </c>
      <c r="E20" s="64">
        <v>1</v>
      </c>
      <c r="F20" s="35"/>
      <c r="G20" s="35"/>
      <c r="H20" s="35"/>
      <c r="I20" s="71"/>
    </row>
    <row r="21" spans="1:9" ht="10.5" customHeight="1">
      <c r="A21" s="72" t="s">
        <v>30</v>
      </c>
      <c r="B21" s="65">
        <v>-0.4</v>
      </c>
      <c r="C21" s="35" t="s">
        <v>85</v>
      </c>
      <c r="D21" s="79" t="s">
        <v>15</v>
      </c>
      <c r="E21" s="64">
        <v>1</v>
      </c>
      <c r="F21" s="35"/>
      <c r="G21" s="35"/>
      <c r="H21" s="35"/>
      <c r="I21" s="71"/>
    </row>
    <row r="22" spans="1:9" ht="10.5" customHeight="1">
      <c r="A22" s="74"/>
      <c r="B22" s="35"/>
      <c r="C22" s="35"/>
      <c r="D22" s="40"/>
      <c r="E22" s="57"/>
      <c r="F22" s="35"/>
      <c r="G22" s="35"/>
      <c r="H22" s="35"/>
      <c r="I22" s="71"/>
    </row>
    <row r="23" spans="1:9" ht="10.5" customHeight="1">
      <c r="A23" s="67"/>
      <c r="B23" s="68"/>
      <c r="C23" s="68"/>
      <c r="D23" s="68"/>
      <c r="E23" s="68"/>
      <c r="F23" s="68"/>
      <c r="G23" s="68"/>
      <c r="H23" s="68"/>
      <c r="I23" s="69"/>
    </row>
    <row r="24" spans="1:9" ht="10.5" customHeight="1">
      <c r="A24" s="73" t="s">
        <v>41</v>
      </c>
      <c r="B24" s="35"/>
      <c r="C24" s="35"/>
      <c r="D24" s="36"/>
      <c r="E24" s="35"/>
      <c r="F24" s="35"/>
      <c r="G24" s="35"/>
      <c r="H24" s="35"/>
      <c r="I24" s="71"/>
    </row>
    <row r="25" spans="1:9" ht="10.5" customHeight="1">
      <c r="A25" s="72" t="s">
        <v>37</v>
      </c>
      <c r="B25" s="37">
        <f>B4*E4/B5</f>
        <v>35.526315789473685</v>
      </c>
      <c r="C25" s="35" t="s">
        <v>1</v>
      </c>
      <c r="D25" s="35"/>
      <c r="E25" s="35"/>
      <c r="F25" s="35"/>
      <c r="G25" s="35"/>
      <c r="H25" s="35"/>
      <c r="I25" s="71"/>
    </row>
    <row r="26" spans="1:9" ht="10.5" customHeight="1">
      <c r="A26" s="72" t="s">
        <v>36</v>
      </c>
      <c r="B26" s="35">
        <f>E4/B25</f>
        <v>3.8</v>
      </c>
      <c r="C26" s="35" t="s">
        <v>2</v>
      </c>
      <c r="D26" s="35"/>
      <c r="E26" s="35"/>
      <c r="F26" s="35"/>
      <c r="G26" s="35"/>
      <c r="H26" s="35"/>
      <c r="I26" s="71"/>
    </row>
    <row r="27" spans="1:9" ht="10.5" customHeight="1">
      <c r="A27" s="72" t="s">
        <v>35</v>
      </c>
      <c r="B27" s="38">
        <f>DEGREES(ASIN(0.0000001*E7*E6*E9/2/COS(RADIANS(E8/2))))+E8/2</f>
        <v>44.040563826615795</v>
      </c>
      <c r="C27" s="35" t="s">
        <v>2</v>
      </c>
      <c r="D27" s="35"/>
      <c r="E27" s="35"/>
      <c r="F27" s="35"/>
      <c r="G27" s="35"/>
      <c r="H27" s="35"/>
      <c r="I27" s="71"/>
    </row>
    <row r="28" spans="1:9" ht="10.5" customHeight="1">
      <c r="A28" s="72" t="s">
        <v>34</v>
      </c>
      <c r="B28" s="37">
        <f>B27-E8</f>
        <v>6.040563826615795</v>
      </c>
      <c r="C28" s="35" t="s">
        <v>2</v>
      </c>
      <c r="D28" s="35"/>
      <c r="E28" s="35"/>
      <c r="F28" s="35"/>
      <c r="G28" s="35"/>
      <c r="H28" s="35"/>
      <c r="I28" s="71"/>
    </row>
    <row r="29" spans="1:9" ht="10.5" customHeight="1">
      <c r="A29" s="72" t="s">
        <v>71</v>
      </c>
      <c r="B29" s="37">
        <f>B25/COS(RADIANS(B27))</f>
        <v>49.4211914425308</v>
      </c>
      <c r="C29" s="35" t="s">
        <v>1</v>
      </c>
      <c r="D29" s="35"/>
      <c r="E29" s="35"/>
      <c r="F29" s="35"/>
      <c r="G29" s="35"/>
      <c r="H29" s="35"/>
      <c r="I29" s="71"/>
    </row>
    <row r="30" spans="1:9" ht="10.5" customHeight="1">
      <c r="A30" s="72" t="s">
        <v>54</v>
      </c>
      <c r="B30" s="38">
        <f>COS(RADIANS(B27))/COS(RADIANS(B28))</f>
        <v>0.722861405875271</v>
      </c>
      <c r="C30" s="35"/>
      <c r="D30" s="35"/>
      <c r="E30" s="35"/>
      <c r="F30" s="35"/>
      <c r="G30" s="35"/>
      <c r="H30" s="35"/>
      <c r="I30" s="71"/>
    </row>
    <row r="31" spans="1:9" ht="10.5" customHeight="1">
      <c r="A31" s="72" t="s">
        <v>66</v>
      </c>
      <c r="B31" s="37">
        <f>E4/B30/B6</f>
        <v>49.14678733810242</v>
      </c>
      <c r="C31" s="35" t="s">
        <v>1</v>
      </c>
      <c r="D31" s="35"/>
      <c r="E31" s="35"/>
      <c r="F31" s="35"/>
      <c r="G31" s="35"/>
      <c r="H31" s="35"/>
      <c r="I31" s="71"/>
    </row>
    <row r="32" spans="1:9" ht="10.5" customHeight="1">
      <c r="A32" s="72" t="s">
        <v>67</v>
      </c>
      <c r="B32" s="37">
        <f>E4/B30/B6+E10*H4*H5/E5/1000</f>
        <v>49.86538382933049</v>
      </c>
      <c r="C32" s="35" t="s">
        <v>1</v>
      </c>
      <c r="D32" s="35"/>
      <c r="E32" s="35"/>
      <c r="F32" s="35"/>
      <c r="G32" s="35"/>
      <c r="H32" s="35"/>
      <c r="I32" s="71"/>
    </row>
    <row r="33" spans="1:9" ht="10.5" customHeight="1">
      <c r="A33" s="72" t="s">
        <v>68</v>
      </c>
      <c r="B33" s="39">
        <f>E5/B32</f>
        <v>3.857886678631085</v>
      </c>
      <c r="C33" s="35"/>
      <c r="D33" s="35"/>
      <c r="E33" s="35"/>
      <c r="F33" s="35"/>
      <c r="G33" s="35"/>
      <c r="H33" s="35"/>
      <c r="I33" s="71"/>
    </row>
    <row r="34" spans="1:9" ht="10.5" customHeight="1">
      <c r="A34" s="72"/>
      <c r="B34" s="38"/>
      <c r="C34" s="35"/>
      <c r="D34" s="40" t="s">
        <v>55</v>
      </c>
      <c r="E34" s="37">
        <f>8.48E+34*POWER(10,-0.4*(B19+B21))/POWER(B20,4)/POWER(E9,4)/(EXP(144000000/B20/E9)-1)</f>
        <v>64.91940789764038</v>
      </c>
      <c r="F34" s="35" t="s">
        <v>9</v>
      </c>
      <c r="G34" s="35"/>
      <c r="H34" s="35"/>
      <c r="I34" s="71"/>
    </row>
    <row r="35" spans="1:9" ht="10.5" customHeight="1">
      <c r="A35" s="72" t="s">
        <v>19</v>
      </c>
      <c r="B35" s="41">
        <f>ABS(10000*H4*E19*COS(RADIANS(B28))/E7/E6/E5)</f>
        <v>0.38769888611113906</v>
      </c>
      <c r="C35" s="35" t="s">
        <v>0</v>
      </c>
      <c r="D35" s="40" t="s">
        <v>59</v>
      </c>
      <c r="E35" s="42">
        <f>100*POWER(10,-0.4*B14)</f>
        <v>6.309573444801918E-06</v>
      </c>
      <c r="F35" s="35" t="s">
        <v>14</v>
      </c>
      <c r="G35" s="35"/>
      <c r="H35" s="35"/>
      <c r="I35" s="71"/>
    </row>
    <row r="36" spans="1:9" ht="10.5" customHeight="1">
      <c r="A36" s="72" t="s">
        <v>20</v>
      </c>
      <c r="B36" s="43">
        <f>E9-H5*B35/E19/2</f>
        <v>6521.123627733323</v>
      </c>
      <c r="C36" s="35" t="s">
        <v>3</v>
      </c>
      <c r="D36" s="40" t="s">
        <v>70</v>
      </c>
      <c r="E36" s="44">
        <f>(1-B7*B7)*B13*B8*E11*H6/100</f>
        <v>0.25081875</v>
      </c>
      <c r="F36" s="35"/>
      <c r="G36" s="35"/>
      <c r="H36" s="35"/>
      <c r="I36" s="71"/>
    </row>
    <row r="37" spans="1:9" ht="10.5" customHeight="1">
      <c r="A37" s="72" t="s">
        <v>21</v>
      </c>
      <c r="B37" s="43">
        <f>E9+H5*B35/E19/2</f>
        <v>6818.876372266677</v>
      </c>
      <c r="C37" s="35" t="s">
        <v>3</v>
      </c>
      <c r="D37" s="40" t="s">
        <v>57</v>
      </c>
      <c r="E37" s="37">
        <f>0.25*PI()*E34*E36*B4*B4*B35*E18*B15/100</f>
        <v>39665.13811921298</v>
      </c>
      <c r="F37" s="35" t="s">
        <v>12</v>
      </c>
      <c r="G37" s="35"/>
      <c r="H37" s="35"/>
      <c r="I37" s="71"/>
    </row>
    <row r="38" spans="1:9" ht="10.5" customHeight="1">
      <c r="A38" s="72" t="s">
        <v>6</v>
      </c>
      <c r="B38" s="38">
        <f>0.0001*E5*E9/(E4/B30/B6)</f>
        <v>2.610834440047334</v>
      </c>
      <c r="C38" s="45" t="s">
        <v>65</v>
      </c>
      <c r="D38" s="40" t="s">
        <v>58</v>
      </c>
      <c r="E38" s="37">
        <f>106300000*PI()*E35*E36*B35*E20*H4/1000*E12*B15*E4/E5/B6/B6</f>
        <v>0</v>
      </c>
      <c r="F38" s="35" t="s">
        <v>12</v>
      </c>
      <c r="G38" s="35"/>
      <c r="H38" s="35"/>
      <c r="I38" s="71"/>
    </row>
    <row r="39" spans="1:9" ht="10.5" customHeight="1">
      <c r="A39" s="72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13.499083821836662</v>
      </c>
      <c r="C39" s="45" t="s">
        <v>65</v>
      </c>
      <c r="D39" s="40" t="s">
        <v>56</v>
      </c>
      <c r="E39" s="37">
        <f>SQRT(E37+E21*E38+H8*E21*B15*E19*E20+E21*B16*H7*H7)</f>
        <v>220.60629664452685</v>
      </c>
      <c r="F39" s="35" t="s">
        <v>13</v>
      </c>
      <c r="G39" s="46"/>
      <c r="H39" s="35"/>
      <c r="I39" s="71"/>
    </row>
    <row r="40" spans="1:9" ht="10.5" customHeight="1">
      <c r="A40" s="72" t="s">
        <v>69</v>
      </c>
      <c r="B40" s="38">
        <f>B39/2/H4/E19</f>
        <v>0.7499491012131478</v>
      </c>
      <c r="C40" s="35"/>
      <c r="D40" s="47" t="s">
        <v>79</v>
      </c>
      <c r="E40" s="48">
        <f>E37/E39</f>
        <v>179.8005710740308</v>
      </c>
      <c r="F40" s="35"/>
      <c r="G40" s="35"/>
      <c r="H40" s="35"/>
      <c r="I40" s="71"/>
    </row>
    <row r="41" spans="1:9" ht="10.5" customHeight="1">
      <c r="A41" s="75" t="s">
        <v>31</v>
      </c>
      <c r="B41" s="49">
        <f>IF(B40&lt;1,ABS(1000*B30*E5/2/H4/E19*(TAN(RADIANS(B27))+SIN(RADIANS(B28))/COS(RADIANS(B27)))),ABS(1000*B30*E5/B39*(TAN(RADIANS(B27))+SIN(RADIANS(B28))/COS(RADIANS(B27)))))</f>
        <v>8602.036579088795</v>
      </c>
      <c r="C41" s="50"/>
      <c r="D41" s="35"/>
      <c r="E41" s="35"/>
      <c r="F41" s="35"/>
      <c r="G41" s="35"/>
      <c r="H41" s="35"/>
      <c r="I41" s="71"/>
    </row>
    <row r="42" spans="1:9" ht="10.5" customHeight="1">
      <c r="A42" s="75" t="s">
        <v>32</v>
      </c>
      <c r="B42" s="51">
        <f>E9/B41</f>
        <v>0.7753977722222783</v>
      </c>
      <c r="C42" s="50" t="s">
        <v>3</v>
      </c>
      <c r="D42" s="35"/>
      <c r="E42" s="35"/>
      <c r="F42" s="35"/>
      <c r="G42" s="35"/>
      <c r="H42" s="35"/>
      <c r="I42" s="71"/>
    </row>
    <row r="43" spans="1:9" ht="10.5" customHeight="1">
      <c r="A43" s="76"/>
      <c r="B43" s="77"/>
      <c r="C43" s="77"/>
      <c r="D43" s="77"/>
      <c r="E43" s="77"/>
      <c r="F43" s="77"/>
      <c r="G43" s="77"/>
      <c r="H43" s="77"/>
      <c r="I43" s="7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">
      <selection activeCell="A25" sqref="A25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8.421875" style="2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3" spans="1:7" ht="10.5" customHeight="1">
      <c r="A3" s="4" t="s">
        <v>29</v>
      </c>
      <c r="D3" s="25" t="s">
        <v>39</v>
      </c>
      <c r="G3" s="4" t="s">
        <v>40</v>
      </c>
    </row>
    <row r="4" spans="1:9" ht="10.5" customHeight="1">
      <c r="A4" s="5" t="s">
        <v>53</v>
      </c>
      <c r="B4" s="6">
        <v>317.5</v>
      </c>
      <c r="C4" s="2" t="s">
        <v>1</v>
      </c>
      <c r="D4" s="5" t="s">
        <v>46</v>
      </c>
      <c r="E4" s="22">
        <v>500</v>
      </c>
      <c r="F4" s="2" t="s">
        <v>1</v>
      </c>
      <c r="G4" s="5" t="s">
        <v>45</v>
      </c>
      <c r="H4" s="24">
        <v>24</v>
      </c>
      <c r="I4" s="2" t="s">
        <v>5</v>
      </c>
    </row>
    <row r="5" spans="1:8" ht="10.5" customHeight="1">
      <c r="A5" s="5" t="s">
        <v>52</v>
      </c>
      <c r="B5" s="6">
        <v>3200</v>
      </c>
      <c r="C5" s="2" t="s">
        <v>1</v>
      </c>
      <c r="D5" s="5" t="s">
        <v>47</v>
      </c>
      <c r="E5" s="22">
        <v>500</v>
      </c>
      <c r="F5" s="2" t="s">
        <v>1</v>
      </c>
      <c r="G5" s="5" t="s">
        <v>44</v>
      </c>
      <c r="H5" s="24">
        <v>1024</v>
      </c>
    </row>
    <row r="6" spans="1:9" ht="10.5" customHeight="1">
      <c r="A6" s="5" t="s">
        <v>8</v>
      </c>
      <c r="B6" s="7">
        <f>B5/B4</f>
        <v>10.078740157480315</v>
      </c>
      <c r="D6" s="5" t="s">
        <v>64</v>
      </c>
      <c r="E6" s="22">
        <v>1200</v>
      </c>
      <c r="G6" s="5" t="s">
        <v>43</v>
      </c>
      <c r="H6" s="24">
        <v>85</v>
      </c>
      <c r="I6" s="2" t="s">
        <v>11</v>
      </c>
    </row>
    <row r="7" spans="1:9" ht="10.5" customHeight="1">
      <c r="A7" s="5" t="s">
        <v>23</v>
      </c>
      <c r="B7" s="29">
        <v>0.3</v>
      </c>
      <c r="D7" s="5" t="s">
        <v>48</v>
      </c>
      <c r="E7" s="22">
        <v>1</v>
      </c>
      <c r="G7" s="5" t="s">
        <v>61</v>
      </c>
      <c r="H7" s="24">
        <v>30</v>
      </c>
      <c r="I7" s="2" t="s">
        <v>12</v>
      </c>
    </row>
    <row r="8" spans="1:9" ht="10.5" customHeight="1">
      <c r="A8" s="5" t="s">
        <v>22</v>
      </c>
      <c r="B8" s="29">
        <v>0.75</v>
      </c>
      <c r="D8" s="5" t="s">
        <v>49</v>
      </c>
      <c r="E8" s="22">
        <v>5</v>
      </c>
      <c r="F8" s="2" t="s">
        <v>2</v>
      </c>
      <c r="G8" s="5" t="s">
        <v>42</v>
      </c>
      <c r="H8" s="24">
        <v>0.1</v>
      </c>
      <c r="I8" s="2" t="s">
        <v>17</v>
      </c>
    </row>
    <row r="9" spans="1:7" ht="10.5" customHeight="1">
      <c r="A9" s="5"/>
      <c r="D9" s="5" t="s">
        <v>50</v>
      </c>
      <c r="E9" s="22">
        <v>4100</v>
      </c>
      <c r="F9" s="2" t="s">
        <v>3</v>
      </c>
      <c r="G9" s="5"/>
    </row>
    <row r="10" spans="1:7" ht="10.5" customHeight="1">
      <c r="A10" s="8" t="s">
        <v>38</v>
      </c>
      <c r="D10" s="40" t="s">
        <v>76</v>
      </c>
      <c r="E10" s="22">
        <v>500</v>
      </c>
      <c r="F10" s="2" t="s">
        <v>1</v>
      </c>
      <c r="G10" s="5"/>
    </row>
    <row r="11" spans="1:5" ht="10.5" customHeight="1">
      <c r="A11" s="5" t="s">
        <v>18</v>
      </c>
      <c r="B11" s="9">
        <v>2</v>
      </c>
      <c r="C11" s="2" t="s">
        <v>4</v>
      </c>
      <c r="D11" s="5" t="s">
        <v>51</v>
      </c>
      <c r="E11" s="30">
        <v>0.7</v>
      </c>
    </row>
    <row r="12" spans="1:6" ht="10.5" customHeight="1">
      <c r="A12" s="5" t="s">
        <v>24</v>
      </c>
      <c r="B12" s="19">
        <f>B11/3600/180*PI()*B5*1000</f>
        <v>31.028075591010303</v>
      </c>
      <c r="C12" s="32" t="s">
        <v>65</v>
      </c>
      <c r="D12" s="40" t="s">
        <v>77</v>
      </c>
      <c r="E12" s="55">
        <v>0</v>
      </c>
      <c r="F12" s="23" t="s">
        <v>1</v>
      </c>
    </row>
    <row r="13" spans="1:7" ht="10.5" customHeight="1">
      <c r="A13" s="5" t="s">
        <v>25</v>
      </c>
      <c r="B13" s="28">
        <v>0.75</v>
      </c>
      <c r="D13" s="5"/>
      <c r="G13" s="5"/>
    </row>
    <row r="14" spans="1:6" ht="10.5" customHeight="1">
      <c r="A14" s="5" t="s">
        <v>26</v>
      </c>
      <c r="B14" s="9">
        <v>18</v>
      </c>
      <c r="D14" s="5" t="s">
        <v>80</v>
      </c>
      <c r="E14" s="19">
        <f>2.44*$E$9/10000*B26*2</f>
        <v>20.16554330708661</v>
      </c>
      <c r="F14" s="32" t="s">
        <v>65</v>
      </c>
    </row>
    <row r="15" spans="1:6" ht="10.5" customHeight="1">
      <c r="A15" s="5" t="s">
        <v>82</v>
      </c>
      <c r="B15" s="9">
        <v>1800</v>
      </c>
      <c r="D15" s="5" t="s">
        <v>81</v>
      </c>
      <c r="E15" s="19">
        <f>2.44*$E$9/10000*B33*2</f>
        <v>13.285826387485388</v>
      </c>
      <c r="F15" s="32" t="s">
        <v>65</v>
      </c>
    </row>
    <row r="16" spans="1:5" ht="10.5" customHeight="1">
      <c r="A16" s="5" t="s">
        <v>83</v>
      </c>
      <c r="B16" s="9">
        <v>1</v>
      </c>
      <c r="D16" s="5"/>
      <c r="E16" s="7"/>
    </row>
    <row r="17" spans="4:5" ht="10.5" customHeight="1">
      <c r="D17" s="8" t="s">
        <v>72</v>
      </c>
      <c r="E17" s="7"/>
    </row>
    <row r="18" spans="1:5" ht="10.5" customHeight="1">
      <c r="A18" s="4" t="s">
        <v>28</v>
      </c>
      <c r="C18" s="20"/>
      <c r="D18" s="5" t="s">
        <v>10</v>
      </c>
      <c r="E18" s="10">
        <v>1</v>
      </c>
    </row>
    <row r="19" spans="1:5" ht="10.5" customHeight="1">
      <c r="A19" s="5" t="s">
        <v>16</v>
      </c>
      <c r="B19" s="21">
        <v>6.7</v>
      </c>
      <c r="C19" s="1"/>
      <c r="D19" s="5" t="s">
        <v>33</v>
      </c>
      <c r="E19" s="10">
        <v>1</v>
      </c>
    </row>
    <row r="20" spans="1:5" ht="10.5" customHeight="1">
      <c r="A20" s="5" t="s">
        <v>27</v>
      </c>
      <c r="B20" s="21">
        <v>30000</v>
      </c>
      <c r="D20" s="5" t="s">
        <v>62</v>
      </c>
      <c r="E20" s="10">
        <v>1</v>
      </c>
    </row>
    <row r="21" spans="1:5" ht="10.5" customHeight="1">
      <c r="A21" s="5" t="s">
        <v>30</v>
      </c>
      <c r="B21" s="21">
        <v>-0.4</v>
      </c>
      <c r="D21" s="5" t="s">
        <v>15</v>
      </c>
      <c r="E21" s="10">
        <v>1</v>
      </c>
    </row>
    <row r="22" spans="4:5" ht="10.5" customHeight="1">
      <c r="D22" s="5"/>
      <c r="E22" s="7"/>
    </row>
    <row r="24" spans="1:4" ht="10.5" customHeight="1">
      <c r="A24" s="8" t="s">
        <v>41</v>
      </c>
      <c r="D24" s="31"/>
    </row>
    <row r="25" spans="1:3" ht="10.5" customHeight="1">
      <c r="A25" s="5" t="s">
        <v>37</v>
      </c>
      <c r="B25" s="19">
        <f>B4*E4/B5</f>
        <v>49.609375</v>
      </c>
      <c r="C25" s="2" t="s">
        <v>1</v>
      </c>
    </row>
    <row r="26" spans="1:3" ht="10.5" customHeight="1">
      <c r="A26" s="5" t="s">
        <v>36</v>
      </c>
      <c r="B26" s="19">
        <f>E4/B25</f>
        <v>10.078740157480315</v>
      </c>
      <c r="C26" s="2" t="s">
        <v>2</v>
      </c>
    </row>
    <row r="27" spans="1:3" ht="10.5" customHeight="1">
      <c r="A27" s="5" t="s">
        <v>35</v>
      </c>
      <c r="B27" s="15">
        <f>DEGREES(ASIN(0.0000001*E7*E6*E9/2/COS(RADIANS(E8/2))))+E8/2</f>
        <v>16.754792331850297</v>
      </c>
      <c r="C27" s="2" t="s">
        <v>2</v>
      </c>
    </row>
    <row r="28" spans="1:3" ht="10.5" customHeight="1">
      <c r="A28" s="5" t="s">
        <v>34</v>
      </c>
      <c r="B28" s="19">
        <f>B27-E8</f>
        <v>11.754792331850297</v>
      </c>
      <c r="C28" s="2" t="s">
        <v>2</v>
      </c>
    </row>
    <row r="29" spans="1:3" ht="10.5" customHeight="1">
      <c r="A29" s="5" t="s">
        <v>71</v>
      </c>
      <c r="B29" s="19">
        <f>B25/COS(RADIANS(B27))</f>
        <v>51.808800963628606</v>
      </c>
      <c r="C29" s="2" t="s">
        <v>1</v>
      </c>
    </row>
    <row r="30" spans="1:2" ht="10.5" customHeight="1">
      <c r="A30" s="5" t="s">
        <v>54</v>
      </c>
      <c r="B30" s="15">
        <f>COS(RADIANS(B27))/COS(RADIANS(B28))</f>
        <v>0.9780586721286907</v>
      </c>
    </row>
    <row r="31" spans="1:3" ht="10.5" customHeight="1">
      <c r="A31" s="5" t="s">
        <v>66</v>
      </c>
      <c r="B31" s="19">
        <f>E4/B30/B6</f>
        <v>50.722289381707476</v>
      </c>
      <c r="C31" s="2" t="s">
        <v>1</v>
      </c>
    </row>
    <row r="32" spans="1:3" ht="10.5" customHeight="1">
      <c r="A32" s="5" t="s">
        <v>67</v>
      </c>
      <c r="B32" s="19">
        <f>E4/B30/B6+E10*H4*H5/E5/1000</f>
        <v>75.29828938170748</v>
      </c>
      <c r="C32" s="2" t="s">
        <v>1</v>
      </c>
    </row>
    <row r="33" spans="1:2" ht="10.5" customHeight="1">
      <c r="A33" s="5" t="s">
        <v>68</v>
      </c>
      <c r="B33" s="16">
        <f>E5/B32</f>
        <v>6.640257090906331</v>
      </c>
    </row>
    <row r="34" spans="1:6" ht="10.5" customHeight="1">
      <c r="A34" s="5"/>
      <c r="B34" s="15"/>
      <c r="D34" s="5" t="s">
        <v>55</v>
      </c>
      <c r="E34" s="14">
        <f>8.48E+34*POWER(10,-0.4*(B19+B21))/POWER(B20,4)/POWER(E9,4)/(EXP(144000000/B20/E9)-1)</f>
        <v>0.5030047380600952</v>
      </c>
      <c r="F34" s="2" t="s">
        <v>9</v>
      </c>
    </row>
    <row r="35" spans="1:6" ht="10.5" customHeight="1">
      <c r="A35" s="5" t="s">
        <v>19</v>
      </c>
      <c r="B35" s="34">
        <f>ABS(10000*H4*E19*COS(RADIANS(B28))/E7/E6/E5)</f>
        <v>0.391611374425099</v>
      </c>
      <c r="C35" s="2" t="s">
        <v>0</v>
      </c>
      <c r="D35" s="5" t="s">
        <v>59</v>
      </c>
      <c r="E35" s="14">
        <f>100*POWER(10,-0.4*B14)</f>
        <v>6.309573444801918E-06</v>
      </c>
      <c r="F35" s="2" t="s">
        <v>14</v>
      </c>
    </row>
    <row r="36" spans="1:5" ht="10.5" customHeight="1">
      <c r="A36" s="5" t="s">
        <v>20</v>
      </c>
      <c r="B36" s="27">
        <f>E9-H5*B35/E19/2</f>
        <v>3899.4949762943493</v>
      </c>
      <c r="C36" s="2" t="s">
        <v>3</v>
      </c>
      <c r="D36" s="5" t="s">
        <v>70</v>
      </c>
      <c r="E36" s="33">
        <f>(1-B7*B7)*B13*B8*E11*H6/100</f>
        <v>0.30456562499999995</v>
      </c>
    </row>
    <row r="37" spans="1:6" ht="10.5" customHeight="1">
      <c r="A37" s="5" t="s">
        <v>21</v>
      </c>
      <c r="B37" s="27">
        <f>E9+H5*B35/E19/2</f>
        <v>4300.50502370565</v>
      </c>
      <c r="C37" s="2" t="s">
        <v>3</v>
      </c>
      <c r="D37" s="5" t="s">
        <v>57</v>
      </c>
      <c r="E37" s="19">
        <f>0.25*PI()*E34*E36*B4*B4*B35*E18*B15/100</f>
        <v>85498.42292536995</v>
      </c>
      <c r="F37" s="2" t="s">
        <v>12</v>
      </c>
    </row>
    <row r="38" spans="1:6" ht="10.5" customHeight="1">
      <c r="A38" s="5" t="s">
        <v>6</v>
      </c>
      <c r="B38" s="15">
        <f>0.0001*E5*E9/(E4/B30/B6)</f>
        <v>4.041615678213676</v>
      </c>
      <c r="C38" s="32" t="s">
        <v>65</v>
      </c>
      <c r="D38" s="5" t="s">
        <v>58</v>
      </c>
      <c r="E38" s="19">
        <f>106300000*PI()*E35*E36*B35*E20*H4/1000*E12*B15*E4/E5/B6/B6</f>
        <v>0</v>
      </c>
      <c r="F38" s="2" t="s">
        <v>12</v>
      </c>
    </row>
    <row r="39" spans="1:7" ht="10.5" customHeight="1">
      <c r="A39" s="5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45.59391636649483</v>
      </c>
      <c r="C39" s="32" t="s">
        <v>65</v>
      </c>
      <c r="D39" s="5" t="s">
        <v>56</v>
      </c>
      <c r="E39" s="19">
        <f>SQRT(E37+E21*E38+H8*E21*B15*E19*E20+E21*B16*H7*H7)</f>
        <v>294.2421161651913</v>
      </c>
      <c r="F39" s="2" t="s">
        <v>13</v>
      </c>
      <c r="G39" s="15"/>
    </row>
    <row r="40" spans="1:5" ht="10.5" customHeight="1">
      <c r="A40" s="5" t="s">
        <v>69</v>
      </c>
      <c r="B40" s="15">
        <f>B39/2/H4/E19</f>
        <v>0.9498732576353089</v>
      </c>
      <c r="D40" s="13" t="s">
        <v>60</v>
      </c>
      <c r="E40" s="26">
        <f>E37/E39</f>
        <v>290.57166947973565</v>
      </c>
    </row>
    <row r="41" spans="1:3" ht="10.5" customHeight="1">
      <c r="A41" s="11" t="s">
        <v>31</v>
      </c>
      <c r="B41" s="18">
        <f>IF(B40&lt;1,ABS(1000*B30*E5/2/H4/E19*(TAN(RADIANS(B27))+SIN(RADIANS(B28))/COS(RADIANS(B27)))),ABS(1000*B30*E5/B39*(TAN(RADIANS(B27))+SIN(RADIANS(B28))/COS(RADIANS(B27)))))</f>
        <v>5234.7815561013285</v>
      </c>
      <c r="C41" s="12"/>
    </row>
    <row r="42" spans="1:3" ht="10.5" customHeight="1">
      <c r="A42" s="11" t="s">
        <v>32</v>
      </c>
      <c r="B42" s="17">
        <f>E9/B41</f>
        <v>0.783222748850198</v>
      </c>
      <c r="C42" s="12" t="s">
        <v>3</v>
      </c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">
      <selection activeCell="E6" sqref="E6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3" spans="1:7" ht="10.5" customHeight="1">
      <c r="A3" s="4" t="s">
        <v>29</v>
      </c>
      <c r="D3" s="25" t="s">
        <v>39</v>
      </c>
      <c r="G3" s="4" t="s">
        <v>40</v>
      </c>
    </row>
    <row r="4" spans="1:9" ht="10.5" customHeight="1">
      <c r="A4" s="5" t="s">
        <v>53</v>
      </c>
      <c r="B4" s="6">
        <v>317.5</v>
      </c>
      <c r="C4" s="2" t="s">
        <v>1</v>
      </c>
      <c r="D4" s="5" t="s">
        <v>46</v>
      </c>
      <c r="E4" s="22">
        <v>500</v>
      </c>
      <c r="F4" s="2" t="s">
        <v>1</v>
      </c>
      <c r="G4" s="5" t="s">
        <v>45</v>
      </c>
      <c r="H4" s="24">
        <v>24</v>
      </c>
      <c r="I4" s="2" t="s">
        <v>5</v>
      </c>
    </row>
    <row r="5" spans="1:8" ht="10.5" customHeight="1">
      <c r="A5" s="5" t="s">
        <v>52</v>
      </c>
      <c r="B5" s="6">
        <v>3500</v>
      </c>
      <c r="C5" s="2" t="s">
        <v>1</v>
      </c>
      <c r="D5" s="5" t="s">
        <v>47</v>
      </c>
      <c r="E5" s="22">
        <v>500</v>
      </c>
      <c r="F5" s="2" t="s">
        <v>1</v>
      </c>
      <c r="G5" s="5" t="s">
        <v>44</v>
      </c>
      <c r="H5" s="24">
        <v>1024</v>
      </c>
    </row>
    <row r="6" spans="1:9" ht="10.5" customHeight="1">
      <c r="A6" s="5" t="s">
        <v>8</v>
      </c>
      <c r="B6" s="7">
        <f>B5/B4</f>
        <v>11.023622047244094</v>
      </c>
      <c r="D6" s="5" t="s">
        <v>64</v>
      </c>
      <c r="E6" s="22">
        <v>300</v>
      </c>
      <c r="G6" s="5" t="s">
        <v>43</v>
      </c>
      <c r="H6" s="24">
        <v>85</v>
      </c>
      <c r="I6" s="2" t="s">
        <v>11</v>
      </c>
    </row>
    <row r="7" spans="1:9" ht="10.5" customHeight="1">
      <c r="A7" s="5" t="s">
        <v>23</v>
      </c>
      <c r="B7" s="29">
        <v>0.3</v>
      </c>
      <c r="D7" s="5" t="s">
        <v>48</v>
      </c>
      <c r="E7" s="22">
        <v>1</v>
      </c>
      <c r="G7" s="5" t="s">
        <v>61</v>
      </c>
      <c r="H7" s="24">
        <v>30</v>
      </c>
      <c r="I7" s="2" t="s">
        <v>12</v>
      </c>
    </row>
    <row r="8" spans="1:9" ht="10.5" customHeight="1">
      <c r="A8" s="5" t="s">
        <v>22</v>
      </c>
      <c r="B8" s="29">
        <v>0.75</v>
      </c>
      <c r="D8" s="5" t="s">
        <v>49</v>
      </c>
      <c r="E8" s="22">
        <v>30</v>
      </c>
      <c r="F8" s="2" t="s">
        <v>2</v>
      </c>
      <c r="G8" s="5" t="s">
        <v>42</v>
      </c>
      <c r="H8" s="24">
        <v>0.1</v>
      </c>
      <c r="I8" s="2" t="s">
        <v>17</v>
      </c>
    </row>
    <row r="9" spans="1:7" ht="10.5" customHeight="1">
      <c r="A9" s="5"/>
      <c r="D9" s="5" t="s">
        <v>50</v>
      </c>
      <c r="E9" s="22">
        <v>6565</v>
      </c>
      <c r="F9" s="2" t="s">
        <v>3</v>
      </c>
      <c r="G9" s="5"/>
    </row>
    <row r="10" spans="1:7" ht="10.5" customHeight="1">
      <c r="A10" s="8" t="s">
        <v>38</v>
      </c>
      <c r="D10" s="40" t="s">
        <v>76</v>
      </c>
      <c r="E10" s="22">
        <v>500</v>
      </c>
      <c r="F10" s="2" t="s">
        <v>1</v>
      </c>
      <c r="G10" s="5"/>
    </row>
    <row r="11" spans="1:5" ht="10.5" customHeight="1">
      <c r="A11" s="5" t="s">
        <v>18</v>
      </c>
      <c r="B11" s="9">
        <v>2</v>
      </c>
      <c r="C11" s="2" t="s">
        <v>4</v>
      </c>
      <c r="D11" s="5" t="s">
        <v>51</v>
      </c>
      <c r="E11" s="30">
        <v>0.7</v>
      </c>
    </row>
    <row r="12" spans="1:6" ht="10.5" customHeight="1">
      <c r="A12" s="5" t="s">
        <v>24</v>
      </c>
      <c r="B12" s="19">
        <f>B11/3600/180*PI()*B5*1000</f>
        <v>33.936957677667515</v>
      </c>
      <c r="C12" s="32" t="s">
        <v>65</v>
      </c>
      <c r="D12" s="40" t="s">
        <v>77</v>
      </c>
      <c r="E12" s="55">
        <v>0</v>
      </c>
      <c r="F12" s="32" t="s">
        <v>65</v>
      </c>
    </row>
    <row r="13" spans="1:7" ht="10.5" customHeight="1">
      <c r="A13" s="5" t="s">
        <v>25</v>
      </c>
      <c r="B13" s="28">
        <v>0.75</v>
      </c>
      <c r="D13" s="5"/>
      <c r="G13" s="5"/>
    </row>
    <row r="14" spans="1:6" ht="10.5" customHeight="1">
      <c r="A14" s="5" t="s">
        <v>26</v>
      </c>
      <c r="B14" s="9">
        <v>18</v>
      </c>
      <c r="D14" s="5" t="s">
        <v>80</v>
      </c>
      <c r="E14" s="19">
        <f>2.44*$E$9/10000*B26</f>
        <v>17.658299212598425</v>
      </c>
      <c r="F14" s="32" t="s">
        <v>65</v>
      </c>
    </row>
    <row r="15" spans="1:6" ht="10.5" customHeight="1">
      <c r="A15" s="5" t="s">
        <v>82</v>
      </c>
      <c r="B15" s="9">
        <v>20</v>
      </c>
      <c r="D15" s="5" t="s">
        <v>81</v>
      </c>
      <c r="E15" s="19">
        <f>2.44*$E$9/10000*B33</f>
        <v>11.048147075216383</v>
      </c>
      <c r="F15" s="32" t="s">
        <v>65</v>
      </c>
    </row>
    <row r="16" spans="1:5" ht="10.5" customHeight="1">
      <c r="A16" s="5" t="s">
        <v>83</v>
      </c>
      <c r="B16" s="9">
        <v>1</v>
      </c>
      <c r="D16" s="5"/>
      <c r="E16" s="7"/>
    </row>
    <row r="17" spans="4:5" ht="10.5" customHeight="1">
      <c r="D17" s="8" t="s">
        <v>72</v>
      </c>
      <c r="E17" s="7"/>
    </row>
    <row r="18" spans="1:5" ht="10.5" customHeight="1">
      <c r="A18" s="4" t="s">
        <v>28</v>
      </c>
      <c r="C18" s="20"/>
      <c r="D18" s="5" t="s">
        <v>10</v>
      </c>
      <c r="E18" s="10">
        <v>1</v>
      </c>
    </row>
    <row r="19" spans="1:5" ht="10.5" customHeight="1">
      <c r="A19" s="5" t="s">
        <v>16</v>
      </c>
      <c r="B19" s="21">
        <v>2.4</v>
      </c>
      <c r="C19" s="66" t="s">
        <v>84</v>
      </c>
      <c r="D19" s="5" t="s">
        <v>33</v>
      </c>
      <c r="E19" s="10">
        <v>1</v>
      </c>
    </row>
    <row r="20" spans="1:5" ht="10.5" customHeight="1">
      <c r="A20" s="5" t="s">
        <v>27</v>
      </c>
      <c r="B20" s="21">
        <v>12000</v>
      </c>
      <c r="C20" s="35" t="s">
        <v>74</v>
      </c>
      <c r="D20" s="5" t="s">
        <v>62</v>
      </c>
      <c r="E20" s="10">
        <v>1</v>
      </c>
    </row>
    <row r="21" spans="1:5" ht="10.5" customHeight="1">
      <c r="A21" s="5" t="s">
        <v>30</v>
      </c>
      <c r="B21" s="21">
        <v>-0.4</v>
      </c>
      <c r="C21" s="2" t="s">
        <v>85</v>
      </c>
      <c r="D21" s="5" t="s">
        <v>15</v>
      </c>
      <c r="E21" s="10">
        <v>1</v>
      </c>
    </row>
    <row r="22" spans="4:5" ht="10.5" customHeight="1">
      <c r="D22" s="5"/>
      <c r="E22" s="7"/>
    </row>
    <row r="24" spans="1:4" ht="10.5" customHeight="1">
      <c r="A24" s="8" t="s">
        <v>41</v>
      </c>
      <c r="D24" s="31"/>
    </row>
    <row r="25" spans="1:3" ht="10.5" customHeight="1">
      <c r="A25" s="5" t="s">
        <v>37</v>
      </c>
      <c r="B25" s="19">
        <f>B4*E4/B5</f>
        <v>45.357142857142854</v>
      </c>
      <c r="C25" s="2" t="s">
        <v>1</v>
      </c>
    </row>
    <row r="26" spans="1:3" ht="10.5" customHeight="1">
      <c r="A26" s="5" t="s">
        <v>36</v>
      </c>
      <c r="B26" s="19">
        <f>E4/B25</f>
        <v>11.023622047244094</v>
      </c>
      <c r="C26" s="2" t="s">
        <v>2</v>
      </c>
    </row>
    <row r="27" spans="1:3" ht="10.5" customHeight="1">
      <c r="A27" s="5" t="s">
        <v>35</v>
      </c>
      <c r="B27" s="15">
        <f>DEGREES(ASIN(0.0000001*E7*E6*E9/2/COS(RADIANS(E8/2))))+E8/2</f>
        <v>20.851403383395734</v>
      </c>
      <c r="C27" s="2" t="s">
        <v>2</v>
      </c>
    </row>
    <row r="28" spans="1:3" ht="10.5" customHeight="1">
      <c r="A28" s="5" t="s">
        <v>34</v>
      </c>
      <c r="B28" s="19">
        <f>B27-E8</f>
        <v>-9.148596616604266</v>
      </c>
      <c r="C28" s="2" t="s">
        <v>2</v>
      </c>
    </row>
    <row r="29" spans="1:3" ht="10.5" customHeight="1">
      <c r="A29" s="5" t="s">
        <v>71</v>
      </c>
      <c r="B29" s="81">
        <f>B25/COS(RADIANS(B27))</f>
        <v>48.535919777680505</v>
      </c>
      <c r="C29" s="2" t="s">
        <v>1</v>
      </c>
    </row>
    <row r="30" spans="1:2" ht="10.5" customHeight="1">
      <c r="A30" s="5" t="s">
        <v>54</v>
      </c>
      <c r="B30" s="15">
        <f>COS(RADIANS(B27))/COS(RADIANS(B28))</f>
        <v>0.9465474530854893</v>
      </c>
    </row>
    <row r="31" spans="1:3" ht="10.5" customHeight="1">
      <c r="A31" s="5" t="s">
        <v>66</v>
      </c>
      <c r="B31" s="19">
        <f>E4/B30/B6</f>
        <v>47.918509219258695</v>
      </c>
      <c r="C31" s="2" t="s">
        <v>1</v>
      </c>
    </row>
    <row r="32" spans="1:3" ht="10.5" customHeight="1">
      <c r="A32" s="5" t="s">
        <v>67</v>
      </c>
      <c r="B32" s="19">
        <f>E4/B30/B6+E10*H4*H5/E5/1000</f>
        <v>72.4945092192587</v>
      </c>
      <c r="C32" s="2" t="s">
        <v>1</v>
      </c>
    </row>
    <row r="33" spans="1:2" ht="10.5" customHeight="1">
      <c r="A33" s="5" t="s">
        <v>68</v>
      </c>
      <c r="B33" s="16">
        <f>E5/B32</f>
        <v>6.897074073399911</v>
      </c>
    </row>
    <row r="34" spans="1:6" ht="10.5" customHeight="1">
      <c r="A34" s="5"/>
      <c r="B34" s="15"/>
      <c r="D34" s="5" t="s">
        <v>55</v>
      </c>
      <c r="E34" s="14">
        <f>8.48E+34*POWER(10,-0.4*(B19+B21))/POWER(B20,4)/POWER(E9,4)/(EXP(144000000/B20/E9)-1)</f>
        <v>66.83547049518445</v>
      </c>
      <c r="F34" s="2" t="s">
        <v>9</v>
      </c>
    </row>
    <row r="35" spans="1:6" ht="10.5" customHeight="1">
      <c r="A35" s="5" t="s">
        <v>19</v>
      </c>
      <c r="B35" s="34">
        <f>ABS(10000*H4*E19*COS(RADIANS(B28))/E7/E6/E5)</f>
        <v>1.5796468904267233</v>
      </c>
      <c r="C35" s="2" t="s">
        <v>0</v>
      </c>
      <c r="D35" s="5" t="s">
        <v>59</v>
      </c>
      <c r="E35" s="14">
        <f>100*POWER(10,-0.4*B14)</f>
        <v>6.309573444801918E-06</v>
      </c>
      <c r="F35" s="2" t="s">
        <v>14</v>
      </c>
    </row>
    <row r="36" spans="1:5" ht="10.5" customHeight="1">
      <c r="A36" s="5" t="s">
        <v>20</v>
      </c>
      <c r="B36" s="27">
        <f>E9-H5*B35/E19/2</f>
        <v>5756.220792101518</v>
      </c>
      <c r="C36" s="2" t="s">
        <v>3</v>
      </c>
      <c r="D36" s="5" t="s">
        <v>70</v>
      </c>
      <c r="E36" s="33">
        <f>(1-B7*B7)*B13*B8*E11*H6/100</f>
        <v>0.30456562499999995</v>
      </c>
    </row>
    <row r="37" spans="1:6" ht="10.5" customHeight="1">
      <c r="A37" s="5" t="s">
        <v>21</v>
      </c>
      <c r="B37" s="27">
        <f>E9+H5*B35/E19/2</f>
        <v>7373.779207898482</v>
      </c>
      <c r="C37" s="2" t="s">
        <v>3</v>
      </c>
      <c r="D37" s="5" t="s">
        <v>57</v>
      </c>
      <c r="E37" s="19">
        <f>0.25*PI()*E34*E36*B4*B4*B35*E18*B15/100</f>
        <v>509161.13706081675</v>
      </c>
      <c r="F37" s="2" t="s">
        <v>12</v>
      </c>
    </row>
    <row r="38" spans="1:6" ht="10.5" customHeight="1">
      <c r="A38" s="5" t="s">
        <v>6</v>
      </c>
      <c r="B38" s="15">
        <f>0.0001*E5*E9/(E4/B30/B6)</f>
        <v>6.850171371109238</v>
      </c>
      <c r="C38" s="32" t="s">
        <v>65</v>
      </c>
      <c r="D38" s="5" t="s">
        <v>58</v>
      </c>
      <c r="E38" s="19">
        <f>106300000*PI()*E35*E36*B35*E20*H4/1000*E12*B15*E4/E5/B6/B6</f>
        <v>0</v>
      </c>
      <c r="F38" s="2" t="s">
        <v>12</v>
      </c>
    </row>
    <row r="39" spans="1:7" ht="10.5" customHeight="1">
      <c r="A39" s="5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45.34579919620942</v>
      </c>
      <c r="C39" s="32" t="s">
        <v>65</v>
      </c>
      <c r="D39" s="5" t="s">
        <v>56</v>
      </c>
      <c r="E39" s="19">
        <f>SQRT(E37+E21*E38+H8*E21*B15*E19*E20+E21*B16*H7*H7)</f>
        <v>714.1870462706648</v>
      </c>
      <c r="F39" s="2" t="s">
        <v>13</v>
      </c>
      <c r="G39" s="15"/>
    </row>
    <row r="40" spans="1:5" ht="10.5" customHeight="1">
      <c r="A40" s="5" t="s">
        <v>69</v>
      </c>
      <c r="B40" s="15">
        <f>B39/2/H4/E19</f>
        <v>0.9447041499210296</v>
      </c>
      <c r="D40" s="13" t="s">
        <v>60</v>
      </c>
      <c r="E40" s="26">
        <f>E37/E39</f>
        <v>712.9240718094084</v>
      </c>
    </row>
    <row r="41" spans="1:3" ht="10.5" customHeight="1">
      <c r="A41" s="11" t="s">
        <v>31</v>
      </c>
      <c r="B41" s="18">
        <f>IF(B40&lt;1,ABS(1000*B30*E5/2/H4/E19*(TAN(RADIANS(B27))+SIN(RADIANS(B28))/COS(RADIANS(B27)))),ABS(1000*B30*E5/B39*(TAN(RADIANS(B27))+SIN(RADIANS(B28))/COS(RADIANS(B27)))))</f>
        <v>2077.99605082201</v>
      </c>
      <c r="C41" s="12"/>
    </row>
    <row r="42" spans="1:3" ht="10.5" customHeight="1">
      <c r="A42" s="11" t="s">
        <v>32</v>
      </c>
      <c r="B42" s="17">
        <f>E9/B41</f>
        <v>3.159293780853447</v>
      </c>
      <c r="C42" s="12" t="s">
        <v>3</v>
      </c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B1" sqref="B1"/>
    </sheetView>
  </sheetViews>
  <sheetFormatPr defaultColWidth="11.421875" defaultRowHeight="12.75"/>
  <cols>
    <col min="1" max="1" width="119.57421875" style="0" bestFit="1" customWidth="1"/>
  </cols>
  <sheetData>
    <row r="1" ht="13.5">
      <c r="A1" s="85" t="s">
        <v>88</v>
      </c>
    </row>
    <row r="2" ht="13.5">
      <c r="A2" s="84"/>
    </row>
    <row r="3" ht="13.5">
      <c r="A3" s="84" t="s">
        <v>89</v>
      </c>
    </row>
    <row r="4" ht="13.5">
      <c r="A4" s="84" t="s">
        <v>90</v>
      </c>
    </row>
    <row r="5" ht="13.5">
      <c r="A5" s="84"/>
    </row>
    <row r="6" ht="13.5">
      <c r="A6" s="84" t="s">
        <v>86</v>
      </c>
    </row>
    <row r="7" ht="13.5">
      <c r="A7" s="84" t="s">
        <v>93</v>
      </c>
    </row>
    <row r="8" ht="13.5">
      <c r="A8" s="84" t="s">
        <v>87</v>
      </c>
    </row>
    <row r="9" ht="13.5">
      <c r="A9" s="84"/>
    </row>
    <row r="10" ht="13.5">
      <c r="A10" s="84" t="s">
        <v>91</v>
      </c>
    </row>
    <row r="11" ht="13.5">
      <c r="A11" s="84" t="s">
        <v>92</v>
      </c>
    </row>
    <row r="12" ht="13.5">
      <c r="A12" s="84"/>
    </row>
    <row r="13" ht="13.5">
      <c r="A13" s="84"/>
    </row>
    <row r="14" ht="13.5">
      <c r="A14" s="84"/>
    </row>
    <row r="15" ht="13.5">
      <c r="A15" s="84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00">
      <selection activeCell="E9" sqref="E9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10.00390625" style="2" bestFit="1" customWidth="1"/>
    <col min="6" max="6" width="6.57421875" style="2" customWidth="1"/>
    <col min="7" max="7" width="22.7109375" style="2" bestFit="1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2" spans="1:4" ht="10.5" customHeight="1">
      <c r="A2" s="1" t="s">
        <v>94</v>
      </c>
      <c r="D2" s="3"/>
    </row>
    <row r="4" spans="1:7" ht="10.5" customHeight="1">
      <c r="A4" s="4" t="s">
        <v>29</v>
      </c>
      <c r="D4" s="25" t="s">
        <v>39</v>
      </c>
      <c r="G4" s="4" t="s">
        <v>40</v>
      </c>
    </row>
    <row r="5" spans="1:9" ht="10.5" customHeight="1">
      <c r="A5" s="5" t="s">
        <v>53</v>
      </c>
      <c r="B5" s="6">
        <v>150</v>
      </c>
      <c r="C5" s="2" t="s">
        <v>1</v>
      </c>
      <c r="D5" s="5" t="s">
        <v>46</v>
      </c>
      <c r="E5" s="22">
        <v>270</v>
      </c>
      <c r="F5" s="2" t="s">
        <v>1</v>
      </c>
      <c r="G5" s="5" t="s">
        <v>45</v>
      </c>
      <c r="H5" s="24">
        <v>10</v>
      </c>
      <c r="I5" s="2" t="s">
        <v>5</v>
      </c>
    </row>
    <row r="6" spans="1:8" ht="10.5" customHeight="1">
      <c r="A6" s="5" t="s">
        <v>52</v>
      </c>
      <c r="B6" s="6">
        <v>2250</v>
      </c>
      <c r="C6" s="2" t="s">
        <v>1</v>
      </c>
      <c r="D6" s="5" t="s">
        <v>47</v>
      </c>
      <c r="E6" s="22">
        <v>270</v>
      </c>
      <c r="F6" s="2" t="s">
        <v>1</v>
      </c>
      <c r="G6" s="5" t="s">
        <v>44</v>
      </c>
      <c r="H6" s="24">
        <v>1024</v>
      </c>
    </row>
    <row r="7" spans="1:9" ht="10.5" customHeight="1">
      <c r="A7" s="5" t="s">
        <v>8</v>
      </c>
      <c r="B7" s="7">
        <f>B6/B5</f>
        <v>15</v>
      </c>
      <c r="D7" s="5" t="s">
        <v>64</v>
      </c>
      <c r="E7" s="22">
        <v>900</v>
      </c>
      <c r="G7" s="5" t="s">
        <v>43</v>
      </c>
      <c r="H7" s="24">
        <v>60</v>
      </c>
      <c r="I7" s="2" t="s">
        <v>11</v>
      </c>
    </row>
    <row r="8" spans="1:9" ht="10.5" customHeight="1">
      <c r="A8" s="5" t="s">
        <v>23</v>
      </c>
      <c r="B8" s="29">
        <v>0</v>
      </c>
      <c r="D8" s="5" t="s">
        <v>48</v>
      </c>
      <c r="E8" s="22">
        <v>1</v>
      </c>
      <c r="G8" s="5" t="s">
        <v>61</v>
      </c>
      <c r="H8" s="24">
        <v>30</v>
      </c>
      <c r="I8" s="2" t="s">
        <v>12</v>
      </c>
    </row>
    <row r="9" spans="1:9" ht="10.5" customHeight="1">
      <c r="A9" s="5" t="s">
        <v>22</v>
      </c>
      <c r="B9" s="29">
        <v>0.9</v>
      </c>
      <c r="D9" s="5" t="s">
        <v>49</v>
      </c>
      <c r="E9" s="22">
        <v>45</v>
      </c>
      <c r="F9" s="2" t="s">
        <v>2</v>
      </c>
      <c r="G9" s="5" t="s">
        <v>42</v>
      </c>
      <c r="H9" s="24">
        <v>0.1</v>
      </c>
      <c r="I9" s="2" t="s">
        <v>17</v>
      </c>
    </row>
    <row r="10" spans="1:7" ht="10.5" customHeight="1">
      <c r="A10" s="5"/>
      <c r="D10" s="5" t="s">
        <v>50</v>
      </c>
      <c r="E10" s="22">
        <v>6563</v>
      </c>
      <c r="F10" s="2" t="s">
        <v>3</v>
      </c>
      <c r="G10" s="5"/>
    </row>
    <row r="11" spans="1:7" ht="10.5" customHeight="1">
      <c r="A11" s="8" t="s">
        <v>38</v>
      </c>
      <c r="D11" s="40" t="s">
        <v>76</v>
      </c>
      <c r="E11" s="22">
        <v>50</v>
      </c>
      <c r="F11" s="2" t="s">
        <v>1</v>
      </c>
      <c r="G11" s="5"/>
    </row>
    <row r="12" spans="1:5" ht="10.5" customHeight="1">
      <c r="A12" s="5" t="s">
        <v>18</v>
      </c>
      <c r="B12" s="9">
        <v>3</v>
      </c>
      <c r="C12" s="2" t="s">
        <v>4</v>
      </c>
      <c r="D12" s="5" t="s">
        <v>51</v>
      </c>
      <c r="E12" s="30">
        <v>0.7</v>
      </c>
    </row>
    <row r="13" spans="1:6" ht="10.5" customHeight="1">
      <c r="A13" s="5" t="s">
        <v>24</v>
      </c>
      <c r="B13" s="19">
        <f>B12/3600/180*PI()*B6*1000</f>
        <v>32.72492347489368</v>
      </c>
      <c r="C13" s="32" t="s">
        <v>65</v>
      </c>
      <c r="D13" s="40" t="s">
        <v>77</v>
      </c>
      <c r="E13" s="55">
        <v>60</v>
      </c>
      <c r="F13" s="32" t="s">
        <v>65</v>
      </c>
    </row>
    <row r="14" spans="1:7" ht="10.5" customHeight="1">
      <c r="A14" s="5" t="s">
        <v>25</v>
      </c>
      <c r="B14" s="28">
        <v>0.75</v>
      </c>
      <c r="D14" s="5"/>
      <c r="G14" s="5"/>
    </row>
    <row r="15" spans="1:6" ht="10.5" customHeight="1">
      <c r="A15" s="5" t="s">
        <v>26</v>
      </c>
      <c r="B15" s="9">
        <v>18</v>
      </c>
      <c r="D15" s="5" t="s">
        <v>80</v>
      </c>
      <c r="E15" s="19">
        <f>2.44*$E$10/10000*B27</f>
        <v>24.02058</v>
      </c>
      <c r="F15" s="32" t="s">
        <v>65</v>
      </c>
    </row>
    <row r="16" spans="1:6" ht="10.5" customHeight="1">
      <c r="A16" s="5" t="s">
        <v>82</v>
      </c>
      <c r="B16" s="9">
        <v>20</v>
      </c>
      <c r="D16" s="5" t="s">
        <v>81</v>
      </c>
      <c r="E16" s="19">
        <f>2.44*$E$10/10000*B34</f>
        <v>16.794820630164494</v>
      </c>
      <c r="F16" s="32" t="s">
        <v>65</v>
      </c>
    </row>
    <row r="17" spans="1:5" ht="10.5" customHeight="1">
      <c r="A17" s="5" t="s">
        <v>83</v>
      </c>
      <c r="B17" s="9">
        <v>1</v>
      </c>
      <c r="D17" s="5"/>
      <c r="E17" s="7"/>
    </row>
    <row r="18" spans="4:5" ht="10.5" customHeight="1">
      <c r="D18" s="8" t="s">
        <v>72</v>
      </c>
      <c r="E18" s="7"/>
    </row>
    <row r="19" spans="1:5" ht="10.5" customHeight="1">
      <c r="A19" s="4" t="s">
        <v>28</v>
      </c>
      <c r="C19" s="20"/>
      <c r="D19" s="5" t="s">
        <v>10</v>
      </c>
      <c r="E19" s="10">
        <v>1</v>
      </c>
    </row>
    <row r="20" spans="1:5" ht="10.5" customHeight="1">
      <c r="A20" s="5" t="s">
        <v>16</v>
      </c>
      <c r="B20" s="21">
        <v>2.4</v>
      </c>
      <c r="C20" s="66" t="s">
        <v>84</v>
      </c>
      <c r="D20" s="5" t="s">
        <v>33</v>
      </c>
      <c r="E20" s="10">
        <v>1</v>
      </c>
    </row>
    <row r="21" spans="1:5" ht="10.5" customHeight="1">
      <c r="A21" s="5" t="s">
        <v>27</v>
      </c>
      <c r="B21" s="21">
        <v>12000</v>
      </c>
      <c r="C21" s="35" t="s">
        <v>74</v>
      </c>
      <c r="D21" s="5" t="s">
        <v>62</v>
      </c>
      <c r="E21" s="10">
        <v>1</v>
      </c>
    </row>
    <row r="22" spans="1:5" ht="10.5" customHeight="1">
      <c r="A22" s="5" t="s">
        <v>30</v>
      </c>
      <c r="B22" s="21">
        <v>-0.4</v>
      </c>
      <c r="C22" s="2" t="s">
        <v>85</v>
      </c>
      <c r="D22" s="5" t="s">
        <v>15</v>
      </c>
      <c r="E22" s="10">
        <v>1</v>
      </c>
    </row>
    <row r="23" spans="4:5" ht="10.5" customHeight="1">
      <c r="D23" s="5"/>
      <c r="E23" s="7"/>
    </row>
    <row r="25" spans="1:4" ht="10.5" customHeight="1">
      <c r="A25" s="8" t="s">
        <v>41</v>
      </c>
      <c r="D25" s="31"/>
    </row>
    <row r="26" spans="1:3" ht="10.5" customHeight="1">
      <c r="A26" s="5" t="s">
        <v>37</v>
      </c>
      <c r="B26" s="2">
        <f>B5*E5/B6</f>
        <v>18</v>
      </c>
      <c r="C26" s="2" t="s">
        <v>1</v>
      </c>
    </row>
    <row r="27" spans="1:4" ht="10.5" customHeight="1">
      <c r="A27" s="5" t="s">
        <v>36</v>
      </c>
      <c r="B27" s="2">
        <f>E5/B26</f>
        <v>15</v>
      </c>
      <c r="C27" s="2" t="s">
        <v>2</v>
      </c>
      <c r="D27" s="19"/>
    </row>
    <row r="28" spans="1:3" ht="10.5" customHeight="1">
      <c r="A28" s="5" t="s">
        <v>35</v>
      </c>
      <c r="B28" s="15">
        <f>DEGREES(ASIN(0.0000001*E8*E7*E10/2/COS(RADIANS(E9/2))))+E9/2</f>
        <v>41.14286629523684</v>
      </c>
      <c r="C28" s="2" t="s">
        <v>2</v>
      </c>
    </row>
    <row r="29" spans="1:3" ht="10.5" customHeight="1">
      <c r="A29" s="5" t="s">
        <v>34</v>
      </c>
      <c r="B29" s="19">
        <f>B28-E9</f>
        <v>-3.8571337047631573</v>
      </c>
      <c r="C29" s="2" t="s">
        <v>2</v>
      </c>
    </row>
    <row r="30" spans="1:3" ht="10.5" customHeight="1">
      <c r="A30" s="5" t="s">
        <v>71</v>
      </c>
      <c r="B30" s="26">
        <f>B26/COS(RADIANS(B28))</f>
        <v>23.902117295189743</v>
      </c>
      <c r="C30" s="2" t="s">
        <v>1</v>
      </c>
    </row>
    <row r="31" spans="1:2" ht="10.5" customHeight="1">
      <c r="A31" s="5" t="s">
        <v>54</v>
      </c>
      <c r="B31" s="15">
        <f>COS(RADIANS(B28))/COS(RADIANS(B29))</f>
        <v>0.7547810261312875</v>
      </c>
    </row>
    <row r="32" spans="1:3" ht="10.5" customHeight="1">
      <c r="A32" s="5" t="s">
        <v>66</v>
      </c>
      <c r="B32" s="19">
        <f>E5/B31/B7</f>
        <v>23.847976269701643</v>
      </c>
      <c r="C32" s="2" t="s">
        <v>1</v>
      </c>
    </row>
    <row r="33" spans="1:3" ht="10.5" customHeight="1">
      <c r="A33" s="5" t="s">
        <v>67</v>
      </c>
      <c r="B33" s="19">
        <f>E5/B31/B7+E11*H5*H6/E6/1000</f>
        <v>25.74427256599794</v>
      </c>
      <c r="C33" s="2" t="s">
        <v>1</v>
      </c>
    </row>
    <row r="34" spans="1:2" ht="10.5" customHeight="1">
      <c r="A34" s="5" t="s">
        <v>68</v>
      </c>
      <c r="B34" s="16">
        <f>E6/B33</f>
        <v>10.487769631393888</v>
      </c>
    </row>
    <row r="35" spans="1:6" ht="10.5" customHeight="1">
      <c r="A35" s="5"/>
      <c r="B35" s="15"/>
      <c r="D35" s="5" t="s">
        <v>55</v>
      </c>
      <c r="E35" s="14">
        <f>8.48E+34*POWER(10,-0.4*(B20+B22))/POWER(B21,4)/POWER(E10,4)/(EXP(144000000/B21/E10)-1)</f>
        <v>66.8725800901654</v>
      </c>
      <c r="F35" s="2" t="s">
        <v>9</v>
      </c>
    </row>
    <row r="36" spans="1:6" ht="10.5" customHeight="1">
      <c r="A36" s="5" t="s">
        <v>19</v>
      </c>
      <c r="B36" s="34">
        <f>ABS(10000*H5*E20*COS(RADIANS(B29))/E8/E7/E6)</f>
        <v>0.41059048798022135</v>
      </c>
      <c r="C36" s="2" t="s">
        <v>0</v>
      </c>
      <c r="D36" s="5" t="s">
        <v>59</v>
      </c>
      <c r="E36" s="14">
        <f>100*POWER(10,-0.4*B15)</f>
        <v>6.309573444801918E-06</v>
      </c>
      <c r="F36" s="2" t="s">
        <v>14</v>
      </c>
    </row>
    <row r="37" spans="1:5" ht="10.5" customHeight="1">
      <c r="A37" s="5" t="s">
        <v>20</v>
      </c>
      <c r="B37" s="27">
        <f>E10-H6*B36/E20/2</f>
        <v>6352.777670154127</v>
      </c>
      <c r="C37" s="2" t="s">
        <v>3</v>
      </c>
      <c r="D37" s="5" t="s">
        <v>70</v>
      </c>
      <c r="E37" s="33">
        <f>(1-B8*B8)*B14*B9*E12*H7/100</f>
        <v>0.2835</v>
      </c>
    </row>
    <row r="38" spans="1:6" ht="10.5" customHeight="1">
      <c r="A38" s="5" t="s">
        <v>21</v>
      </c>
      <c r="B38" s="27">
        <f>E10+H6*B36/E20/2</f>
        <v>6773.222329845873</v>
      </c>
      <c r="C38" s="2" t="s">
        <v>3</v>
      </c>
      <c r="D38" s="5" t="s">
        <v>57</v>
      </c>
      <c r="E38" s="82">
        <f>0.25*PI()*E35*E37*B5*B5*B36*E19*B16/100</f>
        <v>27511.382933204895</v>
      </c>
      <c r="F38" s="2" t="s">
        <v>12</v>
      </c>
    </row>
    <row r="39" spans="1:6" ht="10.5" customHeight="1">
      <c r="A39" s="5" t="s">
        <v>6</v>
      </c>
      <c r="B39" s="15">
        <f>0.0001*E6*E10/(E5/B31/B7)</f>
        <v>7.43044181174946</v>
      </c>
      <c r="C39" s="32" t="s">
        <v>65</v>
      </c>
      <c r="D39" s="5" t="s">
        <v>58</v>
      </c>
      <c r="E39" s="19">
        <f>106300000*PI()*E36*E37*B36*E21*H5/1000*E13*B16*E5/E6/B7/B7</f>
        <v>13.08108634591868</v>
      </c>
      <c r="F39" s="2" t="s">
        <v>12</v>
      </c>
    </row>
    <row r="40" spans="1:7" ht="10.5" customHeight="1">
      <c r="A40" s="5" t="s">
        <v>7</v>
      </c>
      <c r="B40" s="48">
        <f>1000*SQRT(POWER($B$31*$E$6/$E$5,2)*(IF(E13=0,POWER($B$12*PI()/648000,2)*$B$6*$B$6,POWER(MIN(B13,$E$13/1000),2))+POWER($E$15/1000,2))+POWER($E$16/1000,2)+POWER($B$39/1000,2)+POWER($E$20*$H$5/1000,2))</f>
        <v>53.07432785530131</v>
      </c>
      <c r="C40" s="32" t="s">
        <v>65</v>
      </c>
      <c r="D40" s="5" t="s">
        <v>56</v>
      </c>
      <c r="E40" s="19">
        <f>SQRT(E38+E22*E39+H9*E22*B16*E20*E21+E22*B17*H8*H8)</f>
        <v>168.60149471327594</v>
      </c>
      <c r="F40" s="2" t="s">
        <v>13</v>
      </c>
      <c r="G40" s="15"/>
    </row>
    <row r="41" spans="1:5" ht="10.5" customHeight="1">
      <c r="A41" s="5" t="s">
        <v>69</v>
      </c>
      <c r="B41" s="15">
        <f>B40/2/H5/E20</f>
        <v>2.6537163927650655</v>
      </c>
      <c r="D41" s="13" t="s">
        <v>60</v>
      </c>
      <c r="E41" s="26">
        <f>E38/E40</f>
        <v>163.17401562774288</v>
      </c>
    </row>
    <row r="42" spans="1:3" ht="10.5" customHeight="1">
      <c r="A42" s="11" t="s">
        <v>31</v>
      </c>
      <c r="B42" s="18">
        <f>IF(B41&lt;1,ABS(1000*B31*E6/2/H5/E20*(TAN(RADIANS(B28))+SIN(RADIANS(B29))/COS(RADIANS(B28)))),ABS(1000*B31*E6/B40*(TAN(RADIANS(B28))+SIN(RADIANS(B29))/COS(RADIANS(B28)))))</f>
        <v>3011.6813349262247</v>
      </c>
      <c r="C42" s="12"/>
    </row>
    <row r="43" spans="1:3" ht="10.5" customHeight="1">
      <c r="A43" s="11" t="s">
        <v>32</v>
      </c>
      <c r="B43" s="17">
        <f>E10/B42</f>
        <v>2.1791814173330426</v>
      </c>
      <c r="C43" s="12" t="s">
        <v>3</v>
      </c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urs</cp:lastModifiedBy>
  <cp:lastPrinted>2004-05-18T09:28:50Z</cp:lastPrinted>
  <dcterms:created xsi:type="dcterms:W3CDTF">2003-03-05T12:36:55Z</dcterms:created>
  <dcterms:modified xsi:type="dcterms:W3CDTF">2008-01-23T13:29:16Z</dcterms:modified>
  <cp:category/>
  <cp:version/>
  <cp:contentType/>
  <cp:contentStatus/>
</cp:coreProperties>
</file>